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remissas" sheetId="2" state="visible" r:id="rId4"/>
    <sheet name="Linha própria" sheetId="3" state="visible" r:id="rId5"/>
    <sheet name="Terceirizada" sheetId="4" state="visible" r:id="rId6"/>
    <sheet name="Resultad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<sst xmlns="http://schemas.openxmlformats.org/spreadsheetml/2006/main" count="168" uniqueCount="151">
  <si>
    <t xml:space="preserve">Planilha de Custo Total por Placa Entregue (TCO)</t>
  </si>
  <si>
    <t xml:space="preserve">Montagem SMT terceirizada ou linha própria: a mesma base de cálculo para os dois cenários.</t>
  </si>
  <si>
    <t xml:space="preserve">COMO USAR</t>
  </si>
  <si>
    <t xml:space="preserve">1. Na aba Premissas, informe o volume anual de placas, o horizonte de análise, o câmbio e o custo de componentes (BOM) do seu produto.</t>
  </si>
  <si>
    <t xml:space="preserve">2. Na aba Linha própria, ajuste as células azuis: cotações de equipamento, tributos, equipe e rendimento esperado. Os valores preenchidos são referências de mercado de agosto de 2026.</t>
  </si>
  <si>
    <t xml:space="preserve">3. Na aba Terceirizada, insira a cotação turnkey recebida do parceiro (componentes inclusos) e os custos de contorno.</t>
  </si>
  <si>
    <t xml:space="preserve">4. A aba Resultado compara o custo por placa entregue e aprovada nos dois cenários, o capital imobilizado e o volume anual de equilíbrio.</t>
  </si>
  <si>
    <t xml:space="preserve">LEGENDA DE CORES</t>
  </si>
  <si>
    <t xml:space="preserve">Texto azul: célula de entrada. Substitua pelos números do seu projeto.</t>
  </si>
  <si>
    <t xml:space="preserve">Fundo amarelo: premissa-chave que mais altera o resultado. Revise com atenção.</t>
  </si>
  <si>
    <t xml:space="preserve">Texto preto: fórmula calculada. Não edite.</t>
  </si>
  <si>
    <t xml:space="preserve">Texto verde: vínculo com outra aba. Não edite.</t>
  </si>
  <si>
    <t xml:space="preserve">REFERÊNCIAS USADAS NOS VALORES PADRÃO</t>
  </si>
  <si>
    <t xml:space="preserve">Faixas de capex 2026: US$ 200 mil a US$ 800 mil para linha completa de médio porte, antes de tributos de importação. Levantamento internacional de fornecedores.</t>
  </si>
  <si>
    <t xml:space="preserve">Eficiência de linha: média de 52% em amostra de 100 linhas SMT; 46% em fabricantes de produto próprio e 54% em prestadores de serviço (I-Connect007, Line Efficiency and Productivity Measures).</t>
  </si>
  <si>
    <t xml:space="preserve">Encargos CLT: 60,7% sobre o salário bruto, multiplicador de 1,61 vez (1,85 com benefícios).</t>
  </si>
  <si>
    <t xml:space="preserve">Câmbio de referência: US$ 1 = R$ 5,14 (26/08/2026). Atualize na aba Premissas.</t>
  </si>
  <si>
    <t xml:space="preserve">AVISO</t>
  </si>
  <si>
    <t xml:space="preserve">Material educativo produzido pela Enterplak. Os valores padrão são referências de mercado e não constituem proposta comercial. Para uma cotação turnkey do seu projeto, fale com a nossa equipe: enterplak.com.br/contato ou WhatsApp (35) 9 3300-4048.</t>
  </si>
  <si>
    <t xml:space="preserve">Premissas gerais</t>
  </si>
  <si>
    <t xml:space="preserve">Células azuis: preencha com os dados do seu projeto. Usadas pelas abas Linha própria e Terceirizada.</t>
  </si>
  <si>
    <t xml:space="preserve">Entradas compartilhadas</t>
  </si>
  <si>
    <t xml:space="preserve">Horizonte de análise</t>
  </si>
  <si>
    <t xml:space="preserve">anos</t>
  </si>
  <si>
    <t xml:space="preserve">Período sobre o qual o investimento é depreciado e os cenários são comparados.</t>
  </si>
  <si>
    <t xml:space="preserve">Volume anual de placas</t>
  </si>
  <si>
    <t xml:space="preserve">placas/ano</t>
  </si>
  <si>
    <t xml:space="preserve">Demanda realista, não a capacidade nominal do catálogo.</t>
  </si>
  <si>
    <t xml:space="preserve">Câmbio de referência</t>
  </si>
  <si>
    <t xml:space="preserve">R$/US$</t>
  </si>
  <si>
    <t xml:space="preserve">Referência de 26/08/2026. Atualize na data da análise.</t>
  </si>
  <si>
    <t xml:space="preserve">Custo de componentes (BOM) por placa</t>
  </si>
  <si>
    <t xml:space="preserve">R$/placa</t>
  </si>
  <si>
    <t xml:space="preserve">Usado apenas no cenário de linha própria. Na terceirizada, os componentes já estão no preço turnkey.</t>
  </si>
  <si>
    <t xml:space="preserve">Cenário 1: linha SMT própria</t>
  </si>
  <si>
    <t xml:space="preserve">Valores padrão em azul são referências de 2026. Substitua pelas cotações do seu projeto. Coluna D indica a fonte ou a faixa de referência.</t>
  </si>
  <si>
    <t xml:space="preserve">1. Investimento inicial (capex)</t>
  </si>
  <si>
    <t xml:space="preserve">Impressora de pasta de solda</t>
  </si>
  <si>
    <t xml:space="preserve">US$</t>
  </si>
  <si>
    <t xml:space="preserve">Faixa de referência 2026: US$ 20 mil a US$ 80 mil.</t>
  </si>
  <si>
    <t xml:space="preserve">Pick and place (médio porte)</t>
  </si>
  <si>
    <t xml:space="preserve">Faixa de referência 2026: US$ 40 mil a US$ 120 mil.</t>
  </si>
  <si>
    <t xml:space="preserve">Forno de refusão</t>
  </si>
  <si>
    <t xml:space="preserve">Faixa de referência 2026: US$ 20 mil a US$ 150 mil.</t>
  </si>
  <si>
    <t xml:space="preserve">AOI (inspeção óptica automatizada)</t>
  </si>
  <si>
    <t xml:space="preserve">Faixa de referência 2026: US$ 30 mil a US$ 120 mil.</t>
  </si>
  <si>
    <t xml:space="preserve">Feeders e alimentação</t>
  </si>
  <si>
    <t xml:space="preserve">10% a 15% do valor da pick and place; cada slot custa de US$ 200 a US$ 800.</t>
  </si>
  <si>
    <t xml:space="preserve">Periféricos, esteiras e acessórios</t>
  </si>
  <si>
    <t xml:space="preserve">Estimativa. Ajustar conforme o layout da linha.</t>
  </si>
  <si>
    <t xml:space="preserve">Subtotal equipamentos (US$)</t>
  </si>
  <si>
    <t xml:space="preserve">Subtotal equipamentos (R$)</t>
  </si>
  <si>
    <t xml:space="preserve">Conversão pelo câmbio da aba Premissas.</t>
  </si>
  <si>
    <t xml:space="preserve">Tributos efetivos de importação</t>
  </si>
  <si>
    <t xml:space="preserve">% do capex</t>
  </si>
  <si>
    <t xml:space="preserve">II, IPI, PIS/COFINS-Importação e ICMS podem dobrar o valor de origem. Ex-tarifário zera o II, mas exige meses de protocolo.</t>
  </si>
  <si>
    <t xml:space="preserve">Instalação e treinamento</t>
  </si>
  <si>
    <t xml:space="preserve">Faixa de referência: 5% a 15% do valor do equipamento.</t>
  </si>
  <si>
    <t xml:space="preserve">Adequação predial</t>
  </si>
  <si>
    <t xml:space="preserve">R$</t>
  </si>
  <si>
    <t xml:space="preserve">Energia estabilizada, umidade, ar comprimido e exaustão. Parte de US$ 10 mil e passa de US$ 100 mil em galpão não preparado.</t>
  </si>
  <si>
    <t xml:space="preserve">Investimento inicial total (R$)</t>
  </si>
  <si>
    <t xml:space="preserve">2. Custos anuais</t>
  </si>
  <si>
    <t xml:space="preserve">Depreciação anual</t>
  </si>
  <si>
    <t xml:space="preserve">Linear, sobre o horizonte de análise da aba Premissas.</t>
  </si>
  <si>
    <t xml:space="preserve">Taxa de custo de capital</t>
  </si>
  <si>
    <t xml:space="preserve">% a.a.</t>
  </si>
  <si>
    <t xml:space="preserve">Custo de oportunidade do capital imobilizado. Use o custo de capital da sua empresa.</t>
  </si>
  <si>
    <t xml:space="preserve">Custo de capital anual</t>
  </si>
  <si>
    <t xml:space="preserve">Manutenção e serviço técnico</t>
  </si>
  <si>
    <t xml:space="preserve">% capex/ano</t>
  </si>
  <si>
    <t xml:space="preserve">Faixa de referência: 3% a 5% do valor do equipamento por ano.</t>
  </si>
  <si>
    <t xml:space="preserve">Manutenção anual</t>
  </si>
  <si>
    <t xml:space="preserve">Peças de reposição</t>
  </si>
  <si>
    <t xml:space="preserve">Faixa de referência: 3% a 5% no primeiro ano.</t>
  </si>
  <si>
    <t xml:space="preserve">Peças anual</t>
  </si>
  <si>
    <t xml:space="preserve">Utilidades</t>
  </si>
  <si>
    <t xml:space="preserve">R$/mês</t>
  </si>
  <si>
    <t xml:space="preserve">Faixa de referência: US$ 1.200 a US$ 7.200 por mês.</t>
  </si>
  <si>
    <t xml:space="preserve">Utilidades anual</t>
  </si>
  <si>
    <t xml:space="preserve">Equipe dedicada</t>
  </si>
  <si>
    <t xml:space="preserve">pessoas</t>
  </si>
  <si>
    <t xml:space="preserve">Operadores, técnicos de processo, inspetores de qualidade e programadores.</t>
  </si>
  <si>
    <t xml:space="preserve">Salário médio mensal</t>
  </si>
  <si>
    <t xml:space="preserve">Multiplicador de encargos</t>
  </si>
  <si>
    <t xml:space="preserve">Encargos e provisões CLT de 60,7% sobre o salário bruto. Use 1,85 para incluir benefícios.</t>
  </si>
  <si>
    <t xml:space="preserve">Folha anual com encargos</t>
  </si>
  <si>
    <t xml:space="preserve">Custo fixo anual total (R$)</t>
  </si>
  <si>
    <t xml:space="preserve">3. Produção e qualidade</t>
  </si>
  <si>
    <t xml:space="preserve">Volume anual planejado</t>
  </si>
  <si>
    <t xml:space="preserve">First pass yield (FPY)</t>
  </si>
  <si>
    <t xml:space="preserve">Novas introduções começam entre 90% e 95%; operação madura trabalha entre 95% e 98%.</t>
  </si>
  <si>
    <t xml:space="preserve">Placas aprovadas por ano</t>
  </si>
  <si>
    <t xml:space="preserve">Custo de retrabalho por placa reprovada</t>
  </si>
  <si>
    <t xml:space="preserve">O custo do defeito escala por etapa: US$ 0,50 na pasta, US$ 50 após a refusão, mais de US$ 500 no campo.</t>
  </si>
  <si>
    <t xml:space="preserve">Componentes (BOM) por placa</t>
  </si>
  <si>
    <t xml:space="preserve">Materiais por ano</t>
  </si>
  <si>
    <t xml:space="preserve">Retrabalho por ano</t>
  </si>
  <si>
    <t xml:space="preserve">4. Resultado do cenário</t>
  </si>
  <si>
    <t xml:space="preserve">Custo total anual (R$)</t>
  </si>
  <si>
    <t xml:space="preserve">Custo por placa entregue e aprovada (R$)</t>
  </si>
  <si>
    <t xml:space="preserve">Custo variável por placa aprovada (R$)</t>
  </si>
  <si>
    <t xml:space="preserve">Usado no cálculo do ponto de equilíbrio da aba Resultado.</t>
  </si>
  <si>
    <t xml:space="preserve">5. Sensibilidade: e se a linha rodar abaixo do planejado?</t>
  </si>
  <si>
    <t xml:space="preserve">% do volume planejado</t>
  </si>
  <si>
    <t xml:space="preserve">Volume efetivo</t>
  </si>
  <si>
    <t xml:space="preserve">Custo por placa aprovada</t>
  </si>
  <si>
    <t xml:space="preserve">Observação</t>
  </si>
  <si>
    <t xml:space="preserve">Teto típico de linhas de alto mix.</t>
  </si>
  <si>
    <t xml:space="preserve">Eficiência média de fabricantes de produto próprio (I-Connect007).</t>
  </si>
  <si>
    <t xml:space="preserve">O custo fixo não diminui quando a linha para. Ocupação abaixo do planejado é o que mais encarece a produção própria.</t>
  </si>
  <si>
    <t xml:space="preserve">Cenário 2: montagem SMT terceirizada (turnkey)</t>
  </si>
  <si>
    <t xml:space="preserve">Insira a cotação recebida do parceiro. O preço turnkey já inclui componentes, montagem e testes.</t>
  </si>
  <si>
    <t xml:space="preserve">1. Cotação e custos de contorno</t>
  </si>
  <si>
    <t xml:space="preserve">Preço unitário turnkey cotado</t>
  </si>
  <si>
    <t xml:space="preserve">Componentes inclusos. Use a proposta formal do parceiro.</t>
  </si>
  <si>
    <t xml:space="preserve">Frete e logística</t>
  </si>
  <si>
    <t xml:space="preserve">NRE e setup inicial (pagamento único)</t>
  </si>
  <si>
    <t xml:space="preserve">Programação, stencil e homologação. Diluído no horizonte e no volume.</t>
  </si>
  <si>
    <t xml:space="preserve">Gestão do contrato</t>
  </si>
  <si>
    <t xml:space="preserve">R$/ano</t>
  </si>
  <si>
    <t xml:space="preserve">Tempo interno de suprimentos e qualidade dedicado ao fornecedor.</t>
  </si>
  <si>
    <t xml:space="preserve">FPY do parceiro</t>
  </si>
  <si>
    <t xml:space="preserve">Peça o histórico de first pass yield na avaliação do parceiro. Operações maduras: 95% a 98%.</t>
  </si>
  <si>
    <t xml:space="preserve">Custo de falha por placa reprovada</t>
  </si>
  <si>
    <t xml:space="preserve">Zere se o contrato prevê reposição das placas reprovadas pelo parceiro.</t>
  </si>
  <si>
    <t xml:space="preserve">Volume anual</t>
  </si>
  <si>
    <t xml:space="preserve">Horizonte</t>
  </si>
  <si>
    <t xml:space="preserve">2. Resultado do cenário</t>
  </si>
  <si>
    <t xml:space="preserve">Custo por placa entregue (R$)</t>
  </si>
  <si>
    <t xml:space="preserve">Custo total no horizonte (R$)</t>
  </si>
  <si>
    <t xml:space="preserve">Resultado: a conta lado a lado</t>
  </si>
  <si>
    <t xml:space="preserve">Custo por placa entregue e aprovada, capital imobilizado e volume de equilíbrio. Todos os valores vêm das abas de cenário.</t>
  </si>
  <si>
    <t xml:space="preserve">Indicador</t>
  </si>
  <si>
    <t xml:space="preserve">Linha própria</t>
  </si>
  <si>
    <t xml:space="preserve">Terceirizada</t>
  </si>
  <si>
    <t xml:space="preserve">Leitura</t>
  </si>
  <si>
    <t xml:space="preserve">Custo por placa entregue e aprovada</t>
  </si>
  <si>
    <t xml:space="preserve">O número que vai para o comitê. Compare com a mesma base: placa aprovada, não placa produzida.</t>
  </si>
  <si>
    <t xml:space="preserve">Custo total anual</t>
  </si>
  <si>
    <t xml:space="preserve">Custo total no horizonte</t>
  </si>
  <si>
    <t xml:space="preserve">Capital imobilizado no dia 1</t>
  </si>
  <si>
    <t xml:space="preserve">Na terceirizada, apenas o NRE. Na linha própria, o investimento completo antes da primeira placa.</t>
  </si>
  <si>
    <t xml:space="preserve">Diferença por placa (R$)</t>
  </si>
  <si>
    <t xml:space="preserve">Positivo: a linha própria custa mais por placa com as premissas atuais.</t>
  </si>
  <si>
    <t xml:space="preserve">Diferença (%)</t>
  </si>
  <si>
    <t xml:space="preserve">Ponto de equilíbrio</t>
  </si>
  <si>
    <t xml:space="preserve">Volume anual de equilíbrio (placas/ano)</t>
  </si>
  <si>
    <t xml:space="preserve">Acima deste volume anual, a linha própria passa a custar menos por placa aprovada. Aproximação que considera o custo unitário terceirizado constante. "Sem equilíbrio" significa que a terceirizada custa menos em qualquer volume com as premissas atuais.</t>
  </si>
  <si>
    <t xml:space="preserve">Antes de decidir, teste a tabela de sensibilidade da aba Linha própria: a conta muda quando a ocupação cai do planejado para os 46% típicos de fabricante de produto próprio.</t>
  </si>
  <si>
    <t xml:space="preserve">Enterplak. Montagem SMT e turnkey desde 1995, ISO 9001. enterplak.com.br/contato | WhatsApp (35) 9 3300-4048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</si>
</sst>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0"/>
    <numFmt numFmtId="167" formatCode="&quot;R$ &quot;#,##0.00"/>
    <numFmt numFmtId="168" formatCode="&quot;US$ &quot;#,##0"/>
    <numFmt numFmtId="169" formatCode="&quot;R$ &quot;#,##0"/>
    <numFmt numFmtId="170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Arial"/>
      <family val="0"/>
      <charset val="1"/>
    </font>
    <font>
      <sz val="11"/>
      <color rgb="FF1F4E79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DEEAF6"/>
      </patternFill>
    </fill>
    <fill>
      <patternFill patternType="solid">
        <fgColor rgb="FF1F4E79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1F4E79"/>
      </top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70" fontId="8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11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9" fontId="11" fillId="4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2" fillId="5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8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11" fillId="4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70" fontId="11" fillId="4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11" fillId="3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EEA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1" customFormat="false" ht="17.2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5" customFormat="false" ht="15.75" hidden="false" customHeight="true" outlineLevel="0" collapsed="false">
      <c r="B5" s="4" t="s">
        <v>2</v>
      </c>
    </row>
    <row r="6" customFormat="false" ht="30" hidden="false" customHeight="true" outlineLevel="0" collapsed="false">
      <c r="B6" s="5" t="s">
        <v>3</v>
      </c>
    </row>
    <row r="7" customFormat="false" ht="30" hidden="false" customHeight="true" outlineLevel="0" collapsed="false">
      <c r="B7" s="5" t="s">
        <v>4</v>
      </c>
    </row>
    <row r="8" customFormat="false" ht="30" hidden="false" customHeight="true" outlineLevel="0" collapsed="false">
      <c r="B8" s="5" t="s">
        <v>5</v>
      </c>
    </row>
    <row r="9" customFormat="false" ht="30" hidden="false" customHeight="true" outlineLevel="0" collapsed="false">
      <c r="B9" s="5" t="s">
        <v>6</v>
      </c>
    </row>
    <row r="11" customFormat="false" ht="15.75" hidden="false" customHeight="true" outlineLevel="0" collapsed="false">
      <c r="B11" s="4" t="s">
        <v>7</v>
      </c>
    </row>
    <row r="12" customFormat="false" ht="15.75" hidden="false" customHeight="true" outlineLevel="0" collapsed="false">
      <c r="B12" s="6" t="s">
        <v>8</v>
      </c>
    </row>
    <row r="13" customFormat="false" ht="15.75" hidden="false" customHeight="true" outlineLevel="0" collapsed="false">
      <c r="B13" s="5" t="s">
        <v>9</v>
      </c>
    </row>
    <row r="14" customFormat="false" ht="15.75" hidden="false" customHeight="true" outlineLevel="0" collapsed="false">
      <c r="B14" s="5" t="s">
        <v>10</v>
      </c>
    </row>
    <row r="15" customFormat="false" ht="15.75" hidden="false" customHeight="true" outlineLevel="0" collapsed="false">
      <c r="B15" s="7" t="s">
        <v>11</v>
      </c>
    </row>
    <row r="17" customFormat="false" ht="15.75" hidden="false" customHeight="true" outlineLevel="0" collapsed="false">
      <c r="B17" s="4" t="s">
        <v>12</v>
      </c>
    </row>
    <row r="18" customFormat="false" ht="30" hidden="false" customHeight="true" outlineLevel="0" collapsed="false">
      <c r="B18" s="5" t="s">
        <v>13</v>
      </c>
    </row>
    <row r="19" customFormat="false" ht="30" hidden="false" customHeight="true" outlineLevel="0" collapsed="false">
      <c r="B19" s="5" t="s">
        <v>14</v>
      </c>
    </row>
    <row r="20" customFormat="false" ht="30" hidden="false" customHeight="true" outlineLevel="0" collapsed="false">
      <c r="B20" s="5" t="s">
        <v>15</v>
      </c>
    </row>
    <row r="21" customFormat="false" ht="15.75" hidden="false" customHeight="true" outlineLevel="0" collapsed="false">
      <c r="B21" s="5" t="s">
        <v>16</v>
      </c>
    </row>
    <row r="23" customFormat="false" ht="15.75" hidden="false" customHeight="true" outlineLevel="0" collapsed="false">
      <c r="B23" s="4" t="s">
        <v>17</v>
      </c>
    </row>
    <row r="24" customFormat="false" ht="30" hidden="false" customHeight="true" outlineLevel="0" collapsed="false">
      <c r="B24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6"/>
    <col collapsed="false" customWidth="true" hidden="false" outlineLevel="0" max="3" min="3" style="1" width="12"/>
    <col collapsed="false" customWidth="true" hidden="false" outlineLevel="0" max="4" min="4" style="1" width="62"/>
  </cols>
  <sheetData>
    <row r="1" customFormat="false" ht="17.25" hidden="false" customHeight="true" outlineLevel="0" collapsed="false">
      <c r="A1" s="8" t="s">
        <v>19</v>
      </c>
      <c r="B1" s="8"/>
      <c r="C1" s="8"/>
      <c r="D1" s="8"/>
    </row>
    <row r="2" customFormat="false" ht="15" hidden="false" customHeight="true" outlineLevel="0" collapsed="false">
      <c r="A2" s="9" t="s">
        <v>20</v>
      </c>
      <c r="B2" s="9"/>
      <c r="C2" s="9"/>
      <c r="D2" s="9"/>
    </row>
    <row r="4" customFormat="false" ht="15" hidden="false" customHeight="true" outlineLevel="0" collapsed="false">
      <c r="A4" s="10" t="s">
        <v>21</v>
      </c>
      <c r="B4" s="10"/>
      <c r="C4" s="10"/>
      <c r="D4" s="10"/>
    </row>
    <row r="5" customFormat="false" ht="15" hidden="false" customHeight="true" outlineLevel="0" collapsed="false">
      <c r="A5" s="11" t="s">
        <v>22</v>
      </c>
      <c r="B5" s="12" t="n">
        <v>5</v>
      </c>
      <c r="C5" s="13" t="s">
        <v>23</v>
      </c>
      <c r="D5" s="14" t="s">
        <v>24</v>
      </c>
    </row>
    <row r="6" customFormat="false" ht="15" hidden="false" customHeight="true" outlineLevel="0" collapsed="false">
      <c r="A6" s="11" t="s">
        <v>25</v>
      </c>
      <c r="B6" s="12" t="n">
        <v>60000</v>
      </c>
      <c r="C6" s="13" t="s">
        <v>26</v>
      </c>
      <c r="D6" s="14" t="s">
        <v>27</v>
      </c>
    </row>
    <row r="7" customFormat="false" ht="15" hidden="false" customHeight="true" outlineLevel="0" collapsed="false">
      <c r="A7" s="11" t="s">
        <v>28</v>
      </c>
      <c r="B7" s="15" t="n">
        <v>5.14</v>
      </c>
      <c r="C7" s="13" t="s">
        <v>29</v>
      </c>
      <c r="D7" s="14" t="s">
        <v>30</v>
      </c>
    </row>
    <row r="8" customFormat="false" ht="21.75" hidden="false" customHeight="true" outlineLevel="0" collapsed="false">
      <c r="A8" s="11" t="s">
        <v>31</v>
      </c>
      <c r="B8" s="16" t="n">
        <v>85</v>
      </c>
      <c r="C8" s="13" t="s">
        <v>32</v>
      </c>
      <c r="D8" s="14" t="s">
        <v>33</v>
      </c>
    </row>
  </sheetData>
  <mergeCells count="3">
    <mergeCell ref="A1:D1"/>
    <mergeCell ref="A2:D2"/>
    <mergeCell ref="A4:D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6"/>
    <col collapsed="false" customWidth="true" hidden="false" outlineLevel="0" max="3" min="3" style="1" width="14"/>
    <col collapsed="false" customWidth="true" hidden="false" outlineLevel="0" max="4" min="4" style="1" width="66"/>
  </cols>
  <sheetData>
    <row r="1" customFormat="false" ht="17.25" hidden="false" customHeight="true" outlineLevel="0" collapsed="false">
      <c r="A1" s="8" t="s">
        <v>34</v>
      </c>
      <c r="B1" s="8"/>
      <c r="C1" s="8"/>
      <c r="D1" s="8"/>
    </row>
    <row r="2" customFormat="false" ht="15" hidden="false" customHeight="true" outlineLevel="0" collapsed="false">
      <c r="A2" s="9" t="s">
        <v>35</v>
      </c>
      <c r="B2" s="9"/>
      <c r="C2" s="9"/>
      <c r="D2" s="9"/>
    </row>
    <row r="4" customFormat="false" ht="15" hidden="false" customHeight="true" outlineLevel="0" collapsed="false">
      <c r="A4" s="10" t="s">
        <v>36</v>
      </c>
      <c r="B4" s="10"/>
      <c r="C4" s="10"/>
      <c r="D4" s="10"/>
    </row>
    <row r="5" customFormat="false" ht="15" hidden="false" customHeight="true" outlineLevel="0" collapsed="false">
      <c r="A5" s="11" t="s">
        <v>37</v>
      </c>
      <c r="B5" s="17" t="n">
        <v>50000</v>
      </c>
      <c r="C5" s="13" t="s">
        <v>38</v>
      </c>
      <c r="D5" s="14" t="s">
        <v>39</v>
      </c>
    </row>
    <row r="6" customFormat="false" ht="15" hidden="false" customHeight="true" outlineLevel="0" collapsed="false">
      <c r="A6" s="11" t="s">
        <v>40</v>
      </c>
      <c r="B6" s="17" t="n">
        <v>80000</v>
      </c>
      <c r="C6" s="13" t="s">
        <v>38</v>
      </c>
      <c r="D6" s="14" t="s">
        <v>41</v>
      </c>
    </row>
    <row r="7" customFormat="false" ht="15" hidden="false" customHeight="true" outlineLevel="0" collapsed="false">
      <c r="A7" s="11" t="s">
        <v>42</v>
      </c>
      <c r="B7" s="17" t="n">
        <v>60000</v>
      </c>
      <c r="C7" s="13" t="s">
        <v>38</v>
      </c>
      <c r="D7" s="14" t="s">
        <v>43</v>
      </c>
    </row>
    <row r="8" customFormat="false" ht="15" hidden="false" customHeight="true" outlineLevel="0" collapsed="false">
      <c r="A8" s="11" t="s">
        <v>44</v>
      </c>
      <c r="B8" s="17" t="n">
        <v>70000</v>
      </c>
      <c r="C8" s="13" t="s">
        <v>38</v>
      </c>
      <c r="D8" s="14" t="s">
        <v>45</v>
      </c>
    </row>
    <row r="9" customFormat="false" ht="15" hidden="false" customHeight="true" outlineLevel="0" collapsed="false">
      <c r="A9" s="11" t="s">
        <v>46</v>
      </c>
      <c r="B9" s="17" t="n">
        <v>12000</v>
      </c>
      <c r="C9" s="13" t="s">
        <v>38</v>
      </c>
      <c r="D9" s="14" t="s">
        <v>47</v>
      </c>
    </row>
    <row r="10" customFormat="false" ht="15" hidden="false" customHeight="true" outlineLevel="0" collapsed="false">
      <c r="A10" s="11" t="s">
        <v>48</v>
      </c>
      <c r="B10" s="17" t="n">
        <v>15000</v>
      </c>
      <c r="C10" s="13" t="s">
        <v>38</v>
      </c>
      <c r="D10" s="14" t="s">
        <v>49</v>
      </c>
    </row>
    <row r="11" customFormat="false" ht="15" hidden="false" customHeight="true" outlineLevel="0" collapsed="false">
      <c r="A11" s="18" t="s">
        <v>50</v>
      </c>
      <c r="B11" s="19" t="n">
        <f aca="false">SUM(B5:B10)</f>
        <v>287000</v>
      </c>
    </row>
    <row r="12" customFormat="false" ht="15" hidden="false" customHeight="true" outlineLevel="0" collapsed="false">
      <c r="A12" s="18" t="s">
        <v>51</v>
      </c>
      <c r="B12" s="20" t="n">
        <f aca="false">B11*Premissas!$B$7</f>
        <v>1475180</v>
      </c>
      <c r="D12" s="14" t="s">
        <v>52</v>
      </c>
    </row>
    <row r="13" customFormat="false" ht="21.75" hidden="false" customHeight="true" outlineLevel="0" collapsed="false">
      <c r="A13" s="11" t="s">
        <v>53</v>
      </c>
      <c r="B13" s="21" t="n">
        <v>0.6</v>
      </c>
      <c r="C13" s="13" t="s">
        <v>54</v>
      </c>
      <c r="D13" s="14" t="s">
        <v>55</v>
      </c>
    </row>
    <row r="14" customFormat="false" ht="15" hidden="false" customHeight="true" outlineLevel="0" collapsed="false">
      <c r="A14" s="11" t="s">
        <v>56</v>
      </c>
      <c r="B14" s="22" t="n">
        <v>0.1</v>
      </c>
      <c r="C14" s="13" t="s">
        <v>54</v>
      </c>
      <c r="D14" s="14" t="s">
        <v>57</v>
      </c>
    </row>
    <row r="15" customFormat="false" ht="21.75" hidden="false" customHeight="true" outlineLevel="0" collapsed="false">
      <c r="A15" s="11" t="s">
        <v>58</v>
      </c>
      <c r="B15" s="23" t="n">
        <v>250000</v>
      </c>
      <c r="C15" s="13" t="s">
        <v>59</v>
      </c>
      <c r="D15" s="14" t="s">
        <v>60</v>
      </c>
    </row>
    <row r="16" customFormat="false" ht="15" hidden="false" customHeight="true" outlineLevel="0" collapsed="false">
      <c r="A16" s="18" t="s">
        <v>61</v>
      </c>
      <c r="B16" s="24" t="n">
        <f aca="false">B12*(1+B13)+B12*B14+B15</f>
        <v>2757806</v>
      </c>
    </row>
    <row r="18" customFormat="false" ht="15" hidden="false" customHeight="true" outlineLevel="0" collapsed="false">
      <c r="A18" s="10" t="s">
        <v>62</v>
      </c>
      <c r="B18" s="10"/>
      <c r="C18" s="10"/>
      <c r="D18" s="10"/>
    </row>
    <row r="19" customFormat="false" ht="15" hidden="false" customHeight="true" outlineLevel="0" collapsed="false">
      <c r="A19" s="11" t="s">
        <v>63</v>
      </c>
      <c r="B19" s="25" t="n">
        <f aca="false">B16/Premissas!$B$5</f>
        <v>551561.2</v>
      </c>
      <c r="D19" s="14" t="s">
        <v>64</v>
      </c>
    </row>
    <row r="20" customFormat="false" ht="15" hidden="false" customHeight="true" outlineLevel="0" collapsed="false">
      <c r="A20" s="11" t="s">
        <v>65</v>
      </c>
      <c r="B20" s="22" t="n">
        <v>0.12</v>
      </c>
      <c r="C20" s="13" t="s">
        <v>66</v>
      </c>
      <c r="D20" s="14" t="s">
        <v>67</v>
      </c>
    </row>
    <row r="21" customFormat="false" ht="15" hidden="false" customHeight="true" outlineLevel="0" collapsed="false">
      <c r="A21" s="11" t="s">
        <v>68</v>
      </c>
      <c r="B21" s="25" t="n">
        <f aca="false">B16*B20</f>
        <v>330936.72</v>
      </c>
    </row>
    <row r="22" customFormat="false" ht="15" hidden="false" customHeight="true" outlineLevel="0" collapsed="false">
      <c r="A22" s="11" t="s">
        <v>69</v>
      </c>
      <c r="B22" s="22" t="n">
        <v>0.04</v>
      </c>
      <c r="C22" s="13" t="s">
        <v>70</v>
      </c>
      <c r="D22" s="14" t="s">
        <v>71</v>
      </c>
    </row>
    <row r="23" customFormat="false" ht="15" hidden="false" customHeight="true" outlineLevel="0" collapsed="false">
      <c r="A23" s="11" t="s">
        <v>72</v>
      </c>
      <c r="B23" s="25" t="n">
        <f aca="false">B12*B22</f>
        <v>59007.2</v>
      </c>
    </row>
    <row r="24" customFormat="false" ht="15" hidden="false" customHeight="true" outlineLevel="0" collapsed="false">
      <c r="A24" s="11" t="s">
        <v>73</v>
      </c>
      <c r="B24" s="22" t="n">
        <v>0.04</v>
      </c>
      <c r="C24" s="13" t="s">
        <v>70</v>
      </c>
      <c r="D24" s="14" t="s">
        <v>74</v>
      </c>
    </row>
    <row r="25" customFormat="false" ht="15" hidden="false" customHeight="true" outlineLevel="0" collapsed="false">
      <c r="A25" s="11" t="s">
        <v>75</v>
      </c>
      <c r="B25" s="25" t="n">
        <f aca="false">B12*B24</f>
        <v>59007.2</v>
      </c>
    </row>
    <row r="26" customFormat="false" ht="15" hidden="false" customHeight="true" outlineLevel="0" collapsed="false">
      <c r="A26" s="11" t="s">
        <v>76</v>
      </c>
      <c r="B26" s="23" t="n">
        <v>18000</v>
      </c>
      <c r="C26" s="13" t="s">
        <v>77</v>
      </c>
      <c r="D26" s="14" t="s">
        <v>78</v>
      </c>
    </row>
    <row r="27" customFormat="false" ht="15" hidden="false" customHeight="true" outlineLevel="0" collapsed="false">
      <c r="A27" s="11" t="s">
        <v>79</v>
      </c>
      <c r="B27" s="25" t="n">
        <f aca="false">B26*12</f>
        <v>216000</v>
      </c>
    </row>
    <row r="28" customFormat="false" ht="15" hidden="false" customHeight="true" outlineLevel="0" collapsed="false">
      <c r="A28" s="11" t="s">
        <v>80</v>
      </c>
      <c r="B28" s="26" t="n">
        <v>8</v>
      </c>
      <c r="C28" s="13" t="s">
        <v>81</v>
      </c>
      <c r="D28" s="14" t="s">
        <v>82</v>
      </c>
    </row>
    <row r="29" customFormat="false" ht="15" hidden="false" customHeight="true" outlineLevel="0" collapsed="false">
      <c r="A29" s="11" t="s">
        <v>83</v>
      </c>
      <c r="B29" s="23" t="n">
        <v>5000</v>
      </c>
      <c r="C29" s="13" t="s">
        <v>59</v>
      </c>
    </row>
    <row r="30" customFormat="false" ht="21.75" hidden="false" customHeight="true" outlineLevel="0" collapsed="false">
      <c r="A30" s="11" t="s">
        <v>84</v>
      </c>
      <c r="B30" s="27" t="n">
        <v>1.61</v>
      </c>
      <c r="D30" s="14" t="s">
        <v>85</v>
      </c>
    </row>
    <row r="31" customFormat="false" ht="15" hidden="false" customHeight="true" outlineLevel="0" collapsed="false">
      <c r="A31" s="11" t="s">
        <v>86</v>
      </c>
      <c r="B31" s="25" t="n">
        <f aca="false">B28*B29*B30*12</f>
        <v>772800</v>
      </c>
    </row>
    <row r="32" customFormat="false" ht="15" hidden="false" customHeight="true" outlineLevel="0" collapsed="false">
      <c r="A32" s="18" t="s">
        <v>87</v>
      </c>
      <c r="B32" s="24" t="n">
        <f aca="false">B19+B21+B23+B25+B27+B31</f>
        <v>1989312.32</v>
      </c>
    </row>
    <row r="34" customFormat="false" ht="15" hidden="false" customHeight="true" outlineLevel="0" collapsed="false">
      <c r="A34" s="10" t="s">
        <v>88</v>
      </c>
      <c r="B34" s="10"/>
      <c r="C34" s="10"/>
      <c r="D34" s="10"/>
    </row>
    <row r="35" customFormat="false" ht="15" hidden="false" customHeight="true" outlineLevel="0" collapsed="false">
      <c r="A35" s="11" t="s">
        <v>89</v>
      </c>
      <c r="B35" s="28" t="n">
        <f aca="false">Premissas!$B$6</f>
        <v>60000</v>
      </c>
      <c r="C35" s="13" t="s">
        <v>26</v>
      </c>
    </row>
    <row r="36" customFormat="false" ht="21.75" hidden="false" customHeight="true" outlineLevel="0" collapsed="false">
      <c r="A36" s="11" t="s">
        <v>90</v>
      </c>
      <c r="B36" s="21" t="n">
        <v>0.92</v>
      </c>
      <c r="D36" s="14" t="s">
        <v>91</v>
      </c>
    </row>
    <row r="37" customFormat="false" ht="15" hidden="false" customHeight="true" outlineLevel="0" collapsed="false">
      <c r="A37" s="11" t="s">
        <v>92</v>
      </c>
      <c r="B37" s="29" t="n">
        <f aca="false">B35*B36</f>
        <v>55200</v>
      </c>
    </row>
    <row r="38" customFormat="false" ht="21.75" hidden="false" customHeight="true" outlineLevel="0" collapsed="false">
      <c r="A38" s="11" t="s">
        <v>93</v>
      </c>
      <c r="B38" s="16" t="n">
        <v>40</v>
      </c>
      <c r="C38" s="13" t="s">
        <v>32</v>
      </c>
      <c r="D38" s="14" t="s">
        <v>94</v>
      </c>
    </row>
    <row r="39" customFormat="false" ht="15" hidden="false" customHeight="true" outlineLevel="0" collapsed="false">
      <c r="A39" s="11" t="s">
        <v>95</v>
      </c>
      <c r="B39" s="30" t="n">
        <f aca="false">Premissas!$B$8</f>
        <v>85</v>
      </c>
    </row>
    <row r="40" customFormat="false" ht="15" hidden="false" customHeight="true" outlineLevel="0" collapsed="false">
      <c r="A40" s="11" t="s">
        <v>96</v>
      </c>
      <c r="B40" s="25" t="n">
        <f aca="false">B35*B39</f>
        <v>5100000</v>
      </c>
    </row>
    <row r="41" customFormat="false" ht="15" hidden="false" customHeight="true" outlineLevel="0" collapsed="false">
      <c r="A41" s="11" t="s">
        <v>97</v>
      </c>
      <c r="B41" s="25" t="n">
        <f aca="false">B35*(1-B36)*B38</f>
        <v>192000</v>
      </c>
    </row>
    <row r="43" customFormat="false" ht="15" hidden="false" customHeight="true" outlineLevel="0" collapsed="false">
      <c r="A43" s="10" t="s">
        <v>98</v>
      </c>
      <c r="B43" s="10"/>
      <c r="C43" s="10"/>
      <c r="D43" s="10"/>
    </row>
    <row r="44" customFormat="false" ht="15" hidden="false" customHeight="true" outlineLevel="0" collapsed="false">
      <c r="A44" s="18" t="s">
        <v>99</v>
      </c>
      <c r="B44" s="31" t="n">
        <f aca="false">B32+B40+B41</f>
        <v>7281312.32</v>
      </c>
    </row>
    <row r="45" customFormat="false" ht="15" hidden="false" customHeight="true" outlineLevel="0" collapsed="false">
      <c r="A45" s="18" t="s">
        <v>100</v>
      </c>
      <c r="B45" s="32" t="n">
        <f aca="false">B44/B37</f>
        <v>131.907831884058</v>
      </c>
    </row>
    <row r="46" customFormat="false" ht="15" hidden="false" customHeight="true" outlineLevel="0" collapsed="false">
      <c r="A46" s="11" t="s">
        <v>101</v>
      </c>
      <c r="B46" s="33" t="n">
        <f aca="false">(B39+(1-B36)*B38)/B36</f>
        <v>95.8695652173913</v>
      </c>
      <c r="D46" s="14" t="s">
        <v>102</v>
      </c>
    </row>
    <row r="48" customFormat="false" ht="15" hidden="false" customHeight="true" outlineLevel="0" collapsed="false">
      <c r="A48" s="10" t="s">
        <v>103</v>
      </c>
      <c r="B48" s="10"/>
      <c r="C48" s="10"/>
      <c r="D48" s="10"/>
    </row>
    <row r="49" customFormat="false" ht="15" hidden="false" customHeight="true" outlineLevel="0" collapsed="false">
      <c r="A49" s="34" t="s">
        <v>104</v>
      </c>
      <c r="B49" s="34" t="s">
        <v>105</v>
      </c>
      <c r="C49" s="34" t="s">
        <v>106</v>
      </c>
      <c r="D49" s="34" t="s">
        <v>107</v>
      </c>
    </row>
    <row r="50" customFormat="false" ht="15" hidden="false" customHeight="true" outlineLevel="0" collapsed="false">
      <c r="A50" s="35" t="n">
        <v>1</v>
      </c>
      <c r="B50" s="36" t="n">
        <f aca="false">$B$35*A50</f>
        <v>60000</v>
      </c>
      <c r="C50" s="37" t="n">
        <f aca="false">($B$32+B50*$B$39+B50*(1-$B$36)*$B$38)/(B50*$B$36)</f>
        <v>131.907831884058</v>
      </c>
      <c r="D50" s="38"/>
    </row>
    <row r="51" customFormat="false" ht="15" hidden="false" customHeight="true" outlineLevel="0" collapsed="false">
      <c r="A51" s="35" t="n">
        <v>0.8</v>
      </c>
      <c r="B51" s="36" t="n">
        <f aca="false">$B$35*A51</f>
        <v>48000</v>
      </c>
      <c r="C51" s="37" t="n">
        <f aca="false">($B$32+B51*$B$39+B51*(1-$B$36)*$B$38)/(B51*$B$36)</f>
        <v>140.917398550725</v>
      </c>
      <c r="D51" s="38"/>
    </row>
    <row r="52" customFormat="false" ht="15" hidden="false" customHeight="true" outlineLevel="0" collapsed="false">
      <c r="A52" s="35" t="n">
        <v>0.6</v>
      </c>
      <c r="B52" s="36" t="n">
        <f aca="false">$B$35*A52</f>
        <v>36000</v>
      </c>
      <c r="C52" s="37" t="n">
        <f aca="false">($B$32+B52*$B$39+B52*(1-$B$36)*$B$38)/(B52*$B$36)</f>
        <v>155.933342995169</v>
      </c>
      <c r="D52" s="38" t="s">
        <v>108</v>
      </c>
    </row>
    <row r="53" customFormat="false" ht="15" hidden="false" customHeight="true" outlineLevel="0" collapsed="false">
      <c r="A53" s="35" t="n">
        <v>0.46</v>
      </c>
      <c r="B53" s="36" t="n">
        <f aca="false">$B$35*A53</f>
        <v>27600</v>
      </c>
      <c r="C53" s="37" t="n">
        <f aca="false">($B$32+B53*$B$39+B53*(1-$B$36)*$B$38)/(B53*$B$36)</f>
        <v>174.213623188406</v>
      </c>
      <c r="D53" s="38" t="s">
        <v>109</v>
      </c>
    </row>
    <row r="55" customFormat="false" ht="15" hidden="false" customHeight="true" outlineLevel="0" collapsed="false">
      <c r="A55" s="9" t="s">
        <v>110</v>
      </c>
      <c r="B55" s="9"/>
      <c r="C55" s="9"/>
      <c r="D55" s="9"/>
    </row>
  </sheetData>
  <mergeCells count="8">
    <mergeCell ref="A1:D1"/>
    <mergeCell ref="A2:D2"/>
    <mergeCell ref="A4:D4"/>
    <mergeCell ref="A18:D18"/>
    <mergeCell ref="A34:D34"/>
    <mergeCell ref="A43:D43"/>
    <mergeCell ref="A48:D48"/>
    <mergeCell ref="A55:D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6"/>
    <col collapsed="false" customWidth="true" hidden="false" outlineLevel="0" max="3" min="3" style="1" width="14"/>
    <col collapsed="false" customWidth="true" hidden="false" outlineLevel="0" max="4" min="4" style="1" width="66"/>
  </cols>
  <sheetData>
    <row r="1" customFormat="false" ht="17.25" hidden="false" customHeight="true" outlineLevel="0" collapsed="false">
      <c r="A1" s="8" t="s">
        <v>111</v>
      </c>
      <c r="B1" s="8"/>
      <c r="C1" s="8"/>
      <c r="D1" s="8"/>
    </row>
    <row r="2" customFormat="false" ht="15" hidden="false" customHeight="true" outlineLevel="0" collapsed="false">
      <c r="A2" s="9" t="s">
        <v>112</v>
      </c>
      <c r="B2" s="9"/>
      <c r="C2" s="9"/>
      <c r="D2" s="9"/>
    </row>
    <row r="4" customFormat="false" ht="15" hidden="false" customHeight="true" outlineLevel="0" collapsed="false">
      <c r="A4" s="10" t="s">
        <v>113</v>
      </c>
      <c r="B4" s="10"/>
      <c r="C4" s="10"/>
      <c r="D4" s="10"/>
    </row>
    <row r="5" customFormat="false" ht="15" hidden="false" customHeight="true" outlineLevel="0" collapsed="false">
      <c r="A5" s="11" t="s">
        <v>114</v>
      </c>
      <c r="B5" s="39" t="n">
        <v>118</v>
      </c>
      <c r="C5" s="13" t="s">
        <v>32</v>
      </c>
      <c r="D5" s="14" t="s">
        <v>115</v>
      </c>
    </row>
    <row r="6" customFormat="false" ht="15" hidden="false" customHeight="true" outlineLevel="0" collapsed="false">
      <c r="A6" s="11" t="s">
        <v>116</v>
      </c>
      <c r="B6" s="16" t="n">
        <v>2.5</v>
      </c>
      <c r="C6" s="13" t="s">
        <v>32</v>
      </c>
    </row>
    <row r="7" customFormat="false" ht="15" hidden="false" customHeight="true" outlineLevel="0" collapsed="false">
      <c r="A7" s="11" t="s">
        <v>117</v>
      </c>
      <c r="B7" s="23" t="n">
        <v>30000</v>
      </c>
      <c r="C7" s="13" t="s">
        <v>59</v>
      </c>
      <c r="D7" s="14" t="s">
        <v>118</v>
      </c>
    </row>
    <row r="8" customFormat="false" ht="15" hidden="false" customHeight="true" outlineLevel="0" collapsed="false">
      <c r="A8" s="11" t="s">
        <v>119</v>
      </c>
      <c r="B8" s="23" t="n">
        <v>60000</v>
      </c>
      <c r="C8" s="13" t="s">
        <v>120</v>
      </c>
      <c r="D8" s="14" t="s">
        <v>121</v>
      </c>
    </row>
    <row r="9" customFormat="false" ht="21.75" hidden="false" customHeight="true" outlineLevel="0" collapsed="false">
      <c r="A9" s="11" t="s">
        <v>122</v>
      </c>
      <c r="B9" s="22" t="n">
        <v>0.98</v>
      </c>
      <c r="D9" s="14" t="s">
        <v>123</v>
      </c>
    </row>
    <row r="10" customFormat="false" ht="15" hidden="false" customHeight="true" outlineLevel="0" collapsed="false">
      <c r="A10" s="11" t="s">
        <v>124</v>
      </c>
      <c r="B10" s="16" t="n">
        <v>40</v>
      </c>
      <c r="C10" s="13" t="s">
        <v>32</v>
      </c>
      <c r="D10" s="14" t="s">
        <v>125</v>
      </c>
    </row>
    <row r="12" customFormat="false" ht="15" hidden="false" customHeight="true" outlineLevel="0" collapsed="false">
      <c r="A12" s="11" t="s">
        <v>126</v>
      </c>
      <c r="B12" s="28" t="n">
        <f aca="false">Premissas!$B$6</f>
        <v>60000</v>
      </c>
      <c r="C12" s="13" t="s">
        <v>26</v>
      </c>
    </row>
    <row r="13" customFormat="false" ht="15" hidden="false" customHeight="true" outlineLevel="0" collapsed="false">
      <c r="A13" s="11" t="s">
        <v>127</v>
      </c>
      <c r="B13" s="28" t="n">
        <f aca="false">Premissas!$B$5</f>
        <v>5</v>
      </c>
      <c r="C13" s="13" t="s">
        <v>23</v>
      </c>
    </row>
    <row r="15" customFormat="false" ht="15" hidden="false" customHeight="true" outlineLevel="0" collapsed="false">
      <c r="A15" s="10" t="s">
        <v>128</v>
      </c>
      <c r="B15" s="10"/>
      <c r="C15" s="10"/>
      <c r="D15" s="10"/>
    </row>
    <row r="16" customFormat="false" ht="15" hidden="false" customHeight="true" outlineLevel="0" collapsed="false">
      <c r="A16" s="18" t="s">
        <v>129</v>
      </c>
      <c r="B16" s="32" t="n">
        <f aca="false">B5+B6+B7/(B13*B12)+B8/B12+(1-B9)*B10</f>
        <v>122.4</v>
      </c>
    </row>
    <row r="17" customFormat="false" ht="15" hidden="false" customHeight="true" outlineLevel="0" collapsed="false">
      <c r="A17" s="18" t="s">
        <v>99</v>
      </c>
      <c r="B17" s="31" t="n">
        <f aca="false">B16*B12</f>
        <v>7344000</v>
      </c>
    </row>
    <row r="18" customFormat="false" ht="15" hidden="false" customHeight="true" outlineLevel="0" collapsed="false">
      <c r="A18" s="18" t="s">
        <v>130</v>
      </c>
      <c r="B18" s="31" t="n">
        <f aca="false">B17*B13</f>
        <v>36720000</v>
      </c>
    </row>
  </sheetData>
  <mergeCells count="4">
    <mergeCell ref="A1:D1"/>
    <mergeCell ref="A2:D2"/>
    <mergeCell ref="A4:D4"/>
    <mergeCell ref="A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3" min="2" style="1" width="20"/>
    <col collapsed="false" customWidth="true" hidden="false" outlineLevel="0" max="4" min="4" style="1" width="60"/>
  </cols>
  <sheetData>
    <row r="1" customFormat="false" ht="17.25" hidden="false" customHeight="true" outlineLevel="0" collapsed="false">
      <c r="A1" s="8" t="s">
        <v>131</v>
      </c>
      <c r="B1" s="8"/>
      <c r="C1" s="8"/>
      <c r="D1" s="8"/>
    </row>
    <row r="2" customFormat="false" ht="15" hidden="false" customHeight="true" outlineLevel="0" collapsed="false">
      <c r="A2" s="9" t="s">
        <v>132</v>
      </c>
      <c r="B2" s="9"/>
      <c r="C2" s="9"/>
      <c r="D2" s="9"/>
    </row>
    <row r="4" customFormat="false" ht="15" hidden="false" customHeight="true" outlineLevel="0" collapsed="false">
      <c r="A4" s="34" t="s">
        <v>133</v>
      </c>
      <c r="B4" s="34" t="s">
        <v>134</v>
      </c>
      <c r="C4" s="34" t="s">
        <v>135</v>
      </c>
      <c r="D4" s="34" t="s">
        <v>136</v>
      </c>
    </row>
    <row r="5" customFormat="false" ht="21.75" hidden="false" customHeight="true" outlineLevel="0" collapsed="false">
      <c r="A5" s="40" t="s">
        <v>137</v>
      </c>
      <c r="B5" s="41" t="n">
        <f aca="false">'Linha própria'!B45</f>
        <v>131.907831884058</v>
      </c>
      <c r="C5" s="41" t="n">
        <f aca="false">Terceirizada!B16</f>
        <v>122.4</v>
      </c>
      <c r="D5" s="38" t="s">
        <v>138</v>
      </c>
    </row>
    <row r="6" customFormat="false" ht="15" hidden="false" customHeight="true" outlineLevel="0" collapsed="false">
      <c r="A6" s="40" t="s">
        <v>139</v>
      </c>
      <c r="B6" s="42" t="n">
        <f aca="false">'Linha própria'!B44</f>
        <v>7281312.32</v>
      </c>
      <c r="C6" s="42" t="n">
        <f aca="false">Terceirizada!B17</f>
        <v>7344000</v>
      </c>
      <c r="D6" s="38"/>
    </row>
    <row r="7" customFormat="false" ht="15" hidden="false" customHeight="true" outlineLevel="0" collapsed="false">
      <c r="A7" s="40" t="s">
        <v>140</v>
      </c>
      <c r="B7" s="42" t="n">
        <f aca="false">'Linha própria'!B44*Premissas!$B$5</f>
        <v>36406561.6</v>
      </c>
      <c r="C7" s="42" t="n">
        <f aca="false">Terceirizada!B18</f>
        <v>36720000</v>
      </c>
      <c r="D7" s="38"/>
    </row>
    <row r="8" customFormat="false" ht="21.75" hidden="false" customHeight="true" outlineLevel="0" collapsed="false">
      <c r="A8" s="40" t="s">
        <v>141</v>
      </c>
      <c r="B8" s="42" t="n">
        <f aca="false">'Linha própria'!B16</f>
        <v>2757806</v>
      </c>
      <c r="C8" s="42" t="n">
        <f aca="false">Terceirizada!B7</f>
        <v>30000</v>
      </c>
      <c r="D8" s="38" t="s">
        <v>142</v>
      </c>
    </row>
    <row r="10" customFormat="false" ht="15" hidden="false" customHeight="true" outlineLevel="0" collapsed="false">
      <c r="A10" s="18" t="s">
        <v>143</v>
      </c>
      <c r="B10" s="43" t="n">
        <f aca="false">B5-C5</f>
        <v>9.50783188405798</v>
      </c>
      <c r="D10" s="14" t="s">
        <v>144</v>
      </c>
    </row>
    <row r="11" customFormat="false" ht="15" hidden="false" customHeight="true" outlineLevel="0" collapsed="false">
      <c r="A11" s="18" t="s">
        <v>145</v>
      </c>
      <c r="B11" s="44" t="n">
        <f aca="false">IFERROR(B10/C5,"")</f>
        <v>0.0776783650658332</v>
      </c>
    </row>
    <row r="13" customFormat="false" ht="15" hidden="false" customHeight="true" outlineLevel="0" collapsed="false">
      <c r="A13" s="10" t="s">
        <v>146</v>
      </c>
      <c r="B13" s="10"/>
      <c r="C13" s="10"/>
      <c r="D13" s="10"/>
    </row>
    <row r="14" customFormat="false" ht="15" hidden="false" customHeight="true" outlineLevel="0" collapsed="false">
      <c r="A14" s="18" t="s">
        <v>147</v>
      </c>
      <c r="B14" s="45" t="n">
        <f aca="false">IF(Terceirizada!B16&lt;='Linha própria'!B46,"Sem equilíbrio",'Linha própria'!B32/((Terceirizada!B16-'Linha própria'!B46)*'Linha própria'!B36))</f>
        <v>81502.4713208784</v>
      </c>
      <c r="D14" s="9" t="s">
        <v>148</v>
      </c>
    </row>
    <row r="15" customFormat="false" ht="15" hidden="false" customHeight="true" outlineLevel="0" collapsed="false">
      <c r="D15" s="9"/>
    </row>
    <row r="16" customFormat="false" ht="15" hidden="false" customHeight="true" outlineLevel="0" collapsed="false">
      <c r="D16" s="9"/>
    </row>
    <row r="17" customFormat="false" ht="21.75" hidden="false" customHeight="true" outlineLevel="0" collapsed="false">
      <c r="A17" s="9" t="s">
        <v>149</v>
      </c>
      <c r="B17" s="9"/>
      <c r="C17" s="9"/>
    </row>
    <row r="19" customFormat="false" ht="15" hidden="false" customHeight="true" outlineLevel="0" collapsed="false">
      <c r="A19" s="46" t="s">
        <v>150</v>
      </c>
      <c r="B19" s="46"/>
      <c r="C19" s="46"/>
      <c r="D19" s="46"/>
    </row>
  </sheetData>
  <mergeCells count="6">
    <mergeCell ref="A1:D1"/>
    <mergeCell ref="A2:D2"/>
    <mergeCell ref="A13:D13"/>
    <mergeCell ref="D14:D16"/>
    <mergeCell ref="A17:C17"/>
    <mergeCell ref="A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2026-08-27T13:14:17Z</dcterms:created>
  <dc:creator>openpyxl</dc:creator>
  <dc:description/>
  <dc:language>en-US</dc:language>
  <cp:lastModifiedBy/>
  <dcterms:modified xsi:type="dcterms:W3CDTF">2026-08-27T13:41:09Z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